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reak-even analysis" sheetId="1" r:id="rId4"/>
    <sheet state="visible" name="Calculadora" sheetId="2" r:id="rId5"/>
    <sheet state="visible" name="Relatório de Compatibilidade" sheetId="3" r:id="rId6"/>
  </sheets>
  <definedNames>
    <definedName localSheetId="0" name="Kosten_Jahr">'Break-even analysis'!$C$7</definedName>
    <definedName localSheetId="0" name="Leistung_Maschine">'Break-even analysis'!$C$10</definedName>
    <definedName name="Afa_Jahr">#REF!</definedName>
    <definedName localSheetId="0" name="Reparaturkosten">'Break-even analysis'!$C$11</definedName>
    <definedName localSheetId="0" name="Zinsen_Jahr">'Break-even analysis'!$C$6</definedName>
    <definedName localSheetId="0" name="Schmierstoffe">'Break-even analysis'!$C$13</definedName>
    <definedName localSheetId="0" name="Diesel_Ltr">'Break-even analysis'!$C$12</definedName>
    <definedName name="Afa_Jahre">#REF!</definedName>
    <definedName name="Schmierstoffe">#REF!</definedName>
    <definedName name="Zinssatz">#REF!</definedName>
    <definedName name="Leistung_Maschine">#REF!</definedName>
    <definedName name="Personenzahl">#REF!</definedName>
    <definedName localSheetId="0" name="Personenzahl">'Break-even analysis'!$B$10</definedName>
    <definedName localSheetId="0" name="Afa_Jahre">'Break-even analysis'!$C$3</definedName>
    <definedName localSheetId="0" name="Afa_Jahr">'Break-even analysis'!$C$4</definedName>
    <definedName localSheetId="0" name="Anschaffungskosten">'Break-even analysis'!$C$2</definedName>
    <definedName localSheetId="0" name="Zinssatz">'Break-even analysis'!$C$5</definedName>
    <definedName name="Diesel_Ltr">#REF!</definedName>
    <definedName name="Stundenlohn_Arbeiter">#REF!</definedName>
    <definedName name="Zinsen_Jahr">#REF!</definedName>
    <definedName name="Kosten_Jahr">#REF!</definedName>
    <definedName name="Reparaturkosten">#REF!</definedName>
    <definedName localSheetId="0" name="Leistung_Hand">'Break-even analysis'!$C$17</definedName>
    <definedName localSheetId="0" name="Stundenlohn_Arbeiter">'Break-even analysis'!$C$18</definedName>
    <definedName name="Anschaffungskosten">#REF!</definedName>
    <definedName name="Leistung_Hand">#REF!</definedName>
  </definedNames>
  <calcPr/>
  <extLst>
    <ext uri="GoogleSheetsCustomDataVersion1">
      <go:sheetsCustomData xmlns:go="http://customooxmlschemas.google.com/" r:id="rId7" roundtripDataSignature="AMtx7mj+XWZxair1L47WxYi2EaC8QUuwl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25">
      <text>
        <t xml:space="preserve">======
ID#AAAAXscha0k
Fernando    (2022-04-19 19:42:48)
custo total opex x número de horas</t>
      </text>
    </comment>
    <comment authorId="0" ref="A25">
      <text>
        <t xml:space="preserve">======
ID#AAAAXscha0g
Fernando    (2022-04-19 19:42:48)
total m2 pavimentado, dividido por 70 m2/h</t>
      </text>
    </comment>
    <comment authorId="0" ref="B25">
      <text>
        <t xml:space="preserve">======
ID#AAAAXscha0c
Fernando    (2022-04-19 19:42:48)
número de horas X custo M.O/hora</t>
      </text>
    </comment>
    <comment authorId="0" ref="D25">
      <text>
        <t xml:space="preserve">======
ID#AAAAXscha0Y
Fernando    (2022-04-19 19:42:48)
Custo aquisição + custo opex + custo M.O</t>
      </text>
    </comment>
  </commentList>
  <extLst>
    <ext uri="GoogleSheetsCustomDataVersion1">
      <go:sheetsCustomData xmlns:go="http://customooxmlschemas.google.com/" r:id="rId1" roundtripDataSignature="AMtx7mi6zhA6O5iiD1HUo0aAFpVDSoU87Q=="/>
    </ext>
  </extLst>
</comments>
</file>

<file path=xl/sharedStrings.xml><?xml version="1.0" encoding="utf-8"?>
<sst xmlns="http://schemas.openxmlformats.org/spreadsheetml/2006/main" count="49" uniqueCount="48">
  <si>
    <t>Custos de aquisição CAPEX</t>
  </si>
  <si>
    <t>Investimento na Máquina Optimas T22</t>
  </si>
  <si>
    <t>Financiamento/anos</t>
  </si>
  <si>
    <t>Custo por ano</t>
  </si>
  <si>
    <t>Taxa de juros anual em %</t>
  </si>
  <si>
    <t>Juros por ano:</t>
  </si>
  <si>
    <t>Custo aquisição anual:</t>
  </si>
  <si>
    <t>Custo operacional OPEX</t>
  </si>
  <si>
    <t>Performance da Máquina Optimas para 02 pessoas (m2 por hora)</t>
  </si>
  <si>
    <t>Custo de reparos (Custo estimado anual)</t>
  </si>
  <si>
    <t>Diesel (3 ltr./hora):</t>
  </si>
  <si>
    <t>Custo de Manutenção por hora:</t>
  </si>
  <si>
    <t>Custo total operação por hora</t>
  </si>
  <si>
    <t>Custo mão de obra M.O</t>
  </si>
  <si>
    <t>Performance de assentamento manual (por hora, duas pessoas)</t>
  </si>
  <si>
    <t>Custo m.o  02 pessoas (por hora, incluindo seguros e encargos)</t>
  </si>
  <si>
    <t>OS CAMPOS AZUIS PODEM SER ALTERADOS DE ACORDO COM REALIDADE DO CLIENTE</t>
  </si>
  <si>
    <t>PAVIMENTAÇÃO MECANIZADA - OPTIMAS</t>
  </si>
  <si>
    <t>PAVIMENTAÇÃO MANUAL</t>
  </si>
  <si>
    <t>RETORNO</t>
  </si>
  <si>
    <t>N. Horas - Pavimentação mecanizada</t>
  </si>
  <si>
    <t>Custo M.O.
(2 pessoas)</t>
  </si>
  <si>
    <t>Custo Opex</t>
  </si>
  <si>
    <t>CUSTO TOTAL ANUAL</t>
  </si>
  <si>
    <t>R$ por m2</t>
  </si>
  <si>
    <t>N. Horas/ manual</t>
  </si>
  <si>
    <t>R$
p. m²</t>
  </si>
  <si>
    <t>M.O MANUAL - CUSTO TL ANUAL</t>
  </si>
  <si>
    <t>m2/ano</t>
  </si>
  <si>
    <t>Custo de manutenção por hora</t>
  </si>
  <si>
    <t xml:space="preserve">custo manutenção/ano </t>
  </si>
  <si>
    <t>m2 por ano</t>
  </si>
  <si>
    <t>m2/hora</t>
  </si>
  <si>
    <t>horas/ano</t>
  </si>
  <si>
    <t>custo manutenção/hora</t>
  </si>
  <si>
    <t>Custo bruto mão de obra/mês</t>
  </si>
  <si>
    <t>com encargos</t>
  </si>
  <si>
    <t>custo/dia (22 dias uteis)</t>
  </si>
  <si>
    <t xml:space="preserve">custo por hora (08 horas) </t>
  </si>
  <si>
    <t>custo x 02 operarios/hora</t>
  </si>
  <si>
    <t>Relatório de Compatibilidade para Break Even Analisys REAL - T22.xls</t>
  </si>
  <si>
    <t>Executado em 10-04-2018 8:57</t>
  </si>
  <si>
    <t>Se a pasta de trabalho for salva em um formato de arquivo anterior ou aberta em uma versão anterior do Microsoft Excel, os recursos listados não estarão disponíveis.</t>
  </si>
  <si>
    <t>Perda insignificante de fidelidade</t>
  </si>
  <si>
    <t>Núm. de ocorrências</t>
  </si>
  <si>
    <t>Versão</t>
  </si>
  <si>
    <t>Algumas células ou alguns estilos desta pasta de trabalho contêm formatação para a qual não há suporte no formato de arquivo selecionado. Esses formatos serão convertidos no formato mais próximo disponível.</t>
  </si>
  <si>
    <t>Excel 97-2003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</si>
</sst>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-[$R$-416]\ * #,##0.00_-;\-[$R$-416]\ * #,##0.00_-;_-[$R$-416]\ * &quot;-&quot;??_-;_-@"/>
    <numFmt numFmtId="165" formatCode="#,##0.00\ &quot;m²&quot;"/>
    <numFmt numFmtId="166" formatCode="#,##0.00\ &quot;m²/Stunde&quot;"/>
    <numFmt numFmtId="167" formatCode="#,##0.00_ ;[Red]\-#,##0.00\ "/>
    <numFmt numFmtId="168" formatCode="#,##0\ &quot;m²&quot;"/>
    <numFmt numFmtId="169" formatCode="&quot;R$&quot;\ #,##0.00"/>
  </numFmts>
  <fonts count="11">
    <font>
      <sz val="12.0"/>
      <color rgb="FF000000"/>
      <name val="Arial"/>
      <scheme val="minor"/>
    </font>
    <font>
      <b/>
      <i/>
      <sz val="12.0"/>
      <color theme="1"/>
      <name val="Arial"/>
    </font>
    <font>
      <sz val="12.0"/>
      <color theme="1"/>
      <name val="Arial"/>
    </font>
    <font>
      <sz val="10.0"/>
      <color theme="1"/>
      <name val="Arial"/>
    </font>
    <font>
      <sz val="10.0"/>
      <color rgb="FF0000FF"/>
      <name val="Arial"/>
    </font>
    <font>
      <sz val="10.0"/>
      <color rgb="FF0066CC"/>
      <name val="Arial"/>
    </font>
    <font>
      <b/>
      <i/>
      <sz val="9.0"/>
      <color rgb="FF0000FF"/>
      <name val="Arial"/>
    </font>
    <font>
      <sz val="9.0"/>
      <color theme="1"/>
      <name val="Arial"/>
    </font>
    <font>
      <b/>
      <sz val="12.0"/>
      <color theme="1"/>
      <name val="Arial"/>
    </font>
    <font/>
    <font>
      <b/>
      <sz val="10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FF9900"/>
        <bgColor rgb="FFFF9900"/>
      </patternFill>
    </fill>
  </fills>
  <borders count="39">
    <border/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1" fillId="2" fontId="3" numFmtId="0" xfId="0" applyAlignment="1" applyBorder="1" applyFill="1" applyFont="1">
      <alignment shrinkToFit="0" vertical="bottom" wrapText="0"/>
    </xf>
    <xf borderId="2" fillId="2" fontId="3" numFmtId="0" xfId="0" applyAlignment="1" applyBorder="1" applyFont="1">
      <alignment shrinkToFit="0" vertical="bottom" wrapText="0"/>
    </xf>
    <xf borderId="3" fillId="2" fontId="4" numFmtId="164" xfId="0" applyAlignment="1" applyBorder="1" applyFont="1" applyNumberForma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4" fillId="0" fontId="3" numFmtId="0" xfId="0" applyAlignment="1" applyBorder="1" applyFont="1">
      <alignment shrinkToFit="0" vertical="bottom" wrapText="0"/>
    </xf>
    <xf borderId="5" fillId="0" fontId="3" numFmtId="0" xfId="0" applyAlignment="1" applyBorder="1" applyFont="1">
      <alignment shrinkToFit="0" vertical="bottom" wrapText="0"/>
    </xf>
    <xf borderId="6" fillId="0" fontId="4" numFmtId="0" xfId="0" applyAlignment="1" applyBorder="1" applyFont="1">
      <alignment shrinkToFit="0" vertical="bottom" wrapText="0"/>
    </xf>
    <xf borderId="7" fillId="2" fontId="3" numFmtId="0" xfId="0" applyAlignment="1" applyBorder="1" applyFont="1">
      <alignment shrinkToFit="0" vertical="bottom" wrapText="0"/>
    </xf>
    <xf borderId="8" fillId="2" fontId="3" numFmtId="0" xfId="0" applyAlignment="1" applyBorder="1" applyFont="1">
      <alignment shrinkToFit="0" vertical="bottom" wrapText="0"/>
    </xf>
    <xf borderId="9" fillId="2" fontId="3" numFmtId="164" xfId="0" applyAlignment="1" applyBorder="1" applyFont="1" applyNumberFormat="1">
      <alignment shrinkToFit="0" vertical="bottom" wrapText="0"/>
    </xf>
    <xf borderId="6" fillId="0" fontId="4" numFmtId="9" xfId="0" applyAlignment="1" applyBorder="1" applyFont="1" applyNumberFormat="1">
      <alignment shrinkToFit="0" vertical="bottom" wrapText="0"/>
    </xf>
    <xf borderId="10" fillId="0" fontId="3" numFmtId="0" xfId="0" applyAlignment="1" applyBorder="1" applyFont="1">
      <alignment horizontal="right" shrinkToFit="0" vertical="bottom" wrapText="0"/>
    </xf>
    <xf borderId="11" fillId="0" fontId="3" numFmtId="0" xfId="0" applyAlignment="1" applyBorder="1" applyFont="1">
      <alignment shrinkToFit="0" vertical="bottom" wrapText="0"/>
    </xf>
    <xf borderId="12" fillId="3" fontId="3" numFmtId="164" xfId="0" applyAlignment="1" applyBorder="1" applyFill="1" applyFont="1" applyNumberForma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1" fillId="2" fontId="3" numFmtId="0" xfId="0" applyAlignment="1" applyBorder="1" applyFont="1">
      <alignment shrinkToFit="0" vertical="bottom" wrapText="1"/>
    </xf>
    <xf borderId="2" fillId="2" fontId="5" numFmtId="0" xfId="0" applyAlignment="1" applyBorder="1" applyFont="1">
      <alignment shrinkToFit="0" vertical="bottom" wrapText="0"/>
    </xf>
    <xf borderId="3" fillId="2" fontId="4" numFmtId="165" xfId="0" applyAlignment="1" applyBorder="1" applyFont="1" applyNumberFormat="1">
      <alignment shrinkToFit="0" vertical="bottom" wrapText="0"/>
    </xf>
    <xf borderId="6" fillId="0" fontId="4" numFmtId="164" xfId="0" applyAlignment="1" applyBorder="1" applyFont="1" applyNumberFormat="1">
      <alignment shrinkToFit="0" vertical="bottom" wrapText="0"/>
    </xf>
    <xf borderId="13" fillId="2" fontId="3" numFmtId="0" xfId="0" applyAlignment="1" applyBorder="1" applyFont="1">
      <alignment shrinkToFit="0" vertical="bottom" wrapText="0"/>
    </xf>
    <xf borderId="9" fillId="4" fontId="4" numFmtId="164" xfId="0" applyAlignment="1" applyBorder="1" applyFill="1" applyFont="1" applyNumberFormat="1">
      <alignment shrinkToFit="0" vertical="bottom" wrapText="0"/>
    </xf>
    <xf borderId="9" fillId="5" fontId="4" numFmtId="164" xfId="0" applyAlignment="1" applyBorder="1" applyFill="1" applyFont="1" applyNumberFormat="1">
      <alignment shrinkToFit="0" vertical="bottom" wrapText="0"/>
    </xf>
    <xf borderId="14" fillId="3" fontId="4" numFmtId="164" xfId="0" applyAlignment="1" applyBorder="1" applyFont="1" applyNumberFormat="1">
      <alignment shrinkToFit="0" vertical="bottom" wrapText="0"/>
    </xf>
    <xf borderId="0" fillId="0" fontId="4" numFmtId="164" xfId="0" applyAlignment="1" applyFont="1" applyNumberFormat="1">
      <alignment shrinkToFit="0" vertical="bottom" wrapText="0"/>
    </xf>
    <xf borderId="15" fillId="2" fontId="3" numFmtId="0" xfId="0" applyAlignment="1" applyBorder="1" applyFont="1">
      <alignment shrinkToFit="0" vertical="bottom" wrapText="0"/>
    </xf>
    <xf borderId="16" fillId="2" fontId="3" numFmtId="0" xfId="0" applyAlignment="1" applyBorder="1" applyFont="1">
      <alignment shrinkToFit="0" vertical="bottom" wrapText="0"/>
    </xf>
    <xf borderId="12" fillId="2" fontId="4" numFmtId="165" xfId="0" applyAlignment="1" applyBorder="1" applyFont="1" applyNumberFormat="1">
      <alignment shrinkToFit="0" vertical="bottom" wrapText="0"/>
    </xf>
    <xf borderId="17" fillId="0" fontId="3" numFmtId="0" xfId="0" applyAlignment="1" applyBorder="1" applyFont="1">
      <alignment shrinkToFit="0" vertical="bottom" wrapText="0"/>
    </xf>
    <xf borderId="18" fillId="0" fontId="3" numFmtId="0" xfId="0" applyAlignment="1" applyBorder="1" applyFont="1">
      <alignment shrinkToFit="0" vertical="bottom" wrapText="0"/>
    </xf>
    <xf borderId="3" fillId="3" fontId="4" numFmtId="164" xfId="0" applyAlignment="1" applyBorder="1" applyFont="1" applyNumberFormat="1">
      <alignment shrinkToFit="0" vertical="bottom" wrapText="0"/>
    </xf>
    <xf borderId="0" fillId="0" fontId="6" numFmtId="0" xfId="0" applyAlignment="1" applyFont="1">
      <alignment shrinkToFit="0" vertical="bottom" wrapText="1"/>
    </xf>
    <xf borderId="0" fillId="0" fontId="7" numFmtId="0" xfId="0" applyAlignment="1" applyFont="1">
      <alignment shrinkToFit="0" vertical="bottom" wrapText="0"/>
    </xf>
    <xf borderId="0" fillId="0" fontId="3" numFmtId="166" xfId="0" applyAlignment="1" applyFont="1" applyNumberFormat="1">
      <alignment shrinkToFit="0" vertical="bottom" wrapText="0"/>
    </xf>
    <xf borderId="19" fillId="2" fontId="8" numFmtId="0" xfId="0" applyAlignment="1" applyBorder="1" applyFont="1">
      <alignment horizontal="center" shrinkToFit="0" vertical="bottom" wrapText="0"/>
    </xf>
    <xf borderId="5" fillId="0" fontId="9" numFmtId="0" xfId="0" applyBorder="1" applyFont="1"/>
    <xf borderId="20" fillId="0" fontId="9" numFmtId="0" xfId="0" applyBorder="1" applyFont="1"/>
    <xf borderId="13" fillId="6" fontId="3" numFmtId="0" xfId="0" applyAlignment="1" applyBorder="1" applyFill="1" applyFont="1">
      <alignment horizontal="center" shrinkToFit="0" vertical="bottom" wrapText="0"/>
    </xf>
    <xf borderId="21" fillId="6" fontId="8" numFmtId="0" xfId="0" applyAlignment="1" applyBorder="1" applyFont="1">
      <alignment horizontal="center" shrinkToFit="0" vertical="bottom" wrapText="0"/>
    </xf>
    <xf borderId="22" fillId="2" fontId="8" numFmtId="0" xfId="0" applyAlignment="1" applyBorder="1" applyFont="1">
      <alignment horizontal="center" shrinkToFit="0" vertical="bottom" wrapText="0"/>
    </xf>
    <xf borderId="23" fillId="0" fontId="8" numFmtId="0" xfId="0" applyAlignment="1" applyBorder="1" applyFont="1">
      <alignment horizontal="center" shrinkToFit="0" vertical="bottom" wrapText="0"/>
    </xf>
    <xf borderId="24" fillId="0" fontId="10" numFmtId="0" xfId="0" applyAlignment="1" applyBorder="1" applyFont="1">
      <alignment horizontal="right" shrinkToFit="0" vertical="center" wrapText="1"/>
    </xf>
    <xf borderId="24" fillId="0" fontId="10" numFmtId="0" xfId="0" applyAlignment="1" applyBorder="1" applyFont="1">
      <alignment horizontal="center" shrinkToFit="0" vertical="center" wrapText="1"/>
    </xf>
    <xf borderId="25" fillId="7" fontId="8" numFmtId="2" xfId="0" applyAlignment="1" applyBorder="1" applyFill="1" applyFont="1" applyNumberFormat="1">
      <alignment horizontal="center" shrinkToFit="0" vertical="center" wrapText="1"/>
    </xf>
    <xf borderId="26" fillId="6" fontId="10" numFmtId="0" xfId="0" applyAlignment="1" applyBorder="1" applyFont="1">
      <alignment horizontal="center" shrinkToFit="0" vertical="center" wrapText="0"/>
    </xf>
    <xf borderId="27" fillId="0" fontId="9" numFmtId="0" xfId="0" applyBorder="1" applyFont="1"/>
    <xf borderId="25" fillId="8" fontId="10" numFmtId="0" xfId="0" applyAlignment="1" applyBorder="1" applyFill="1" applyFont="1">
      <alignment horizontal="center" shrinkToFit="0" vertical="center" wrapText="0"/>
    </xf>
    <xf borderId="24" fillId="0" fontId="3" numFmtId="3" xfId="0" applyAlignment="1" applyBorder="1" applyFont="1" applyNumberFormat="1">
      <alignment horizontal="right" shrinkToFit="0" vertical="bottom" wrapText="0"/>
    </xf>
    <xf borderId="24" fillId="0" fontId="3" numFmtId="164" xfId="0" applyAlignment="1" applyBorder="1" applyFont="1" applyNumberFormat="1">
      <alignment horizontal="center" shrinkToFit="0" vertical="bottom" wrapText="0"/>
    </xf>
    <xf borderId="26" fillId="6" fontId="3" numFmtId="0" xfId="0" applyAlignment="1" applyBorder="1" applyFont="1">
      <alignment shrinkToFit="0" vertical="bottom" wrapText="0"/>
    </xf>
    <xf borderId="24" fillId="0" fontId="3" numFmtId="0" xfId="0" applyAlignment="1" applyBorder="1" applyFont="1">
      <alignment horizontal="center" shrinkToFit="0" vertical="bottom" wrapText="0"/>
    </xf>
    <xf borderId="28" fillId="7" fontId="8" numFmtId="167" xfId="0" applyAlignment="1" applyBorder="1" applyFont="1" applyNumberFormat="1">
      <alignment shrinkToFit="0" vertical="bottom" wrapText="0"/>
    </xf>
    <xf borderId="28" fillId="8" fontId="8" numFmtId="168" xfId="0" applyAlignment="1" applyBorder="1" applyFont="1" applyNumberFormat="1">
      <alignment shrinkToFit="0" vertical="bottom" wrapText="0"/>
    </xf>
    <xf borderId="24" fillId="3" fontId="3" numFmtId="3" xfId="0" applyAlignment="1" applyBorder="1" applyFont="1" applyNumberFormat="1">
      <alignment horizontal="right" shrinkToFit="0" vertical="bottom" wrapText="0"/>
    </xf>
    <xf borderId="24" fillId="3" fontId="3" numFmtId="164" xfId="0" applyAlignment="1" applyBorder="1" applyFont="1" applyNumberFormat="1">
      <alignment horizontal="center" shrinkToFit="0" vertical="bottom" wrapText="0"/>
    </xf>
    <xf borderId="26" fillId="3" fontId="3" numFmtId="0" xfId="0" applyAlignment="1" applyBorder="1" applyFont="1">
      <alignment shrinkToFit="0" vertical="bottom" wrapText="0"/>
    </xf>
    <xf borderId="24" fillId="3" fontId="3" numFmtId="3" xfId="0" applyAlignment="1" applyBorder="1" applyFont="1" applyNumberFormat="1">
      <alignment horizontal="center" shrinkToFit="0" vertical="bottom" wrapText="0"/>
    </xf>
    <xf borderId="24" fillId="3" fontId="8" numFmtId="167" xfId="0" applyAlignment="1" applyBorder="1" applyFont="1" applyNumberFormat="1">
      <alignment shrinkToFit="0" vertical="bottom" wrapText="0"/>
    </xf>
    <xf borderId="24" fillId="3" fontId="8" numFmtId="168" xfId="0" applyAlignment="1" applyBorder="1" applyFont="1" applyNumberFormat="1">
      <alignment shrinkToFit="0" vertical="bottom" wrapText="0"/>
    </xf>
    <xf borderId="13" fillId="3" fontId="3" numFmtId="0" xfId="0" applyAlignment="1" applyBorder="1" applyFont="1">
      <alignment shrinkToFit="0" vertical="bottom" wrapText="0"/>
    </xf>
    <xf borderId="24" fillId="0" fontId="3" numFmtId="3" xfId="0" applyAlignment="1" applyBorder="1" applyFont="1" applyNumberFormat="1">
      <alignment horizontal="center" shrinkToFit="0" vertical="bottom" wrapText="0"/>
    </xf>
    <xf borderId="24" fillId="7" fontId="8" numFmtId="167" xfId="0" applyAlignment="1" applyBorder="1" applyFont="1" applyNumberFormat="1">
      <alignment shrinkToFit="0" vertical="bottom" wrapText="0"/>
    </xf>
    <xf borderId="24" fillId="8" fontId="8" numFmtId="168" xfId="0" applyAlignment="1" applyBorder="1" applyFont="1" applyNumberFormat="1">
      <alignment shrinkToFit="0" vertical="bottom" wrapText="0"/>
    </xf>
    <xf borderId="24" fillId="2" fontId="3" numFmtId="3" xfId="0" applyAlignment="1" applyBorder="1" applyFont="1" applyNumberFormat="1">
      <alignment horizontal="right" shrinkToFit="0" vertical="bottom" wrapText="0"/>
    </xf>
    <xf borderId="24" fillId="2" fontId="3" numFmtId="164" xfId="0" applyAlignment="1" applyBorder="1" applyFont="1" applyNumberFormat="1">
      <alignment horizontal="center" shrinkToFit="0" vertical="bottom" wrapText="0"/>
    </xf>
    <xf borderId="24" fillId="2" fontId="3" numFmtId="3" xfId="0" applyAlignment="1" applyBorder="1" applyFont="1" applyNumberFormat="1">
      <alignment horizontal="center" shrinkToFit="0" vertical="bottom" wrapText="0"/>
    </xf>
    <xf borderId="13" fillId="6" fontId="3" numFmtId="0" xfId="0" applyAlignment="1" applyBorder="1" applyFont="1">
      <alignment shrinkToFit="0" vertical="bottom" wrapText="0"/>
    </xf>
    <xf borderId="29" fillId="0" fontId="9" numFmtId="0" xfId="0" applyBorder="1" applyFont="1"/>
    <xf borderId="24" fillId="4" fontId="3" numFmtId="3" xfId="0" applyAlignment="1" applyBorder="1" applyFont="1" applyNumberFormat="1">
      <alignment horizontal="right" shrinkToFit="0" vertical="bottom" wrapText="0"/>
    </xf>
    <xf borderId="24" fillId="4" fontId="3" numFmtId="3" xfId="0" applyAlignment="1" applyBorder="1" applyFont="1" applyNumberFormat="1">
      <alignment horizontal="center" shrinkToFit="0" vertical="bottom" wrapText="0"/>
    </xf>
    <xf borderId="24" fillId="4" fontId="3" numFmtId="164" xfId="0" applyAlignment="1" applyBorder="1" applyFont="1" applyNumberFormat="1">
      <alignment horizontal="center" shrinkToFit="0" vertical="bottom" wrapText="0"/>
    </xf>
    <xf borderId="30" fillId="3" fontId="2" numFmtId="0" xfId="0" applyAlignment="1" applyBorder="1" applyFont="1">
      <alignment horizontal="right" shrinkToFit="0" vertical="bottom" wrapText="0"/>
    </xf>
    <xf borderId="31" fillId="3" fontId="2" numFmtId="0" xfId="0" applyAlignment="1" applyBorder="1" applyFont="1">
      <alignment shrinkToFit="0" vertical="bottom" wrapText="0"/>
    </xf>
    <xf borderId="32" fillId="0" fontId="2" numFmtId="0" xfId="0" applyAlignment="1" applyBorder="1" applyFont="1">
      <alignment horizontal="right" shrinkToFit="0" vertical="bottom" wrapText="0"/>
    </xf>
    <xf borderId="33" fillId="0" fontId="2" numFmtId="169" xfId="0" applyAlignment="1" applyBorder="1" applyFont="1" applyNumberFormat="1">
      <alignment shrinkToFit="0" vertical="bottom" wrapText="0"/>
    </xf>
    <xf borderId="33" fillId="0" fontId="2" numFmtId="3" xfId="0" applyAlignment="1" applyBorder="1" applyFont="1" applyNumberFormat="1">
      <alignment shrinkToFit="0" vertical="bottom" wrapText="0"/>
    </xf>
    <xf borderId="34" fillId="0" fontId="2" numFmtId="0" xfId="0" applyAlignment="1" applyBorder="1" applyFont="1">
      <alignment horizontal="right" shrinkToFit="0" vertical="bottom" wrapText="0"/>
    </xf>
    <xf borderId="14" fillId="3" fontId="2" numFmtId="169" xfId="0" applyAlignment="1" applyBorder="1" applyFont="1" applyNumberFormat="1">
      <alignment shrinkToFit="0" vertical="bottom" wrapText="0"/>
    </xf>
    <xf borderId="0" fillId="0" fontId="2" numFmtId="4" xfId="0" applyAlignment="1" applyFont="1" applyNumberFormat="1">
      <alignment shrinkToFit="0" vertical="bottom" wrapText="0"/>
    </xf>
    <xf borderId="31" fillId="3" fontId="2" numFmtId="169" xfId="0" applyAlignment="1" applyBorder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34" fillId="0" fontId="8" numFmtId="0" xfId="0" applyAlignment="1" applyBorder="1" applyFont="1">
      <alignment horizontal="right" shrinkToFit="0" vertical="bottom" wrapText="0"/>
    </xf>
    <xf borderId="35" fillId="0" fontId="2" numFmtId="0" xfId="0" applyAlignment="1" applyBorder="1" applyFont="1">
      <alignment shrinkToFit="0" vertical="bottom" wrapText="0"/>
    </xf>
    <xf borderId="35" fillId="0" fontId="2" numFmtId="4" xfId="0" applyAlignment="1" applyBorder="1" applyFont="1" applyNumberFormat="1">
      <alignment shrinkToFit="0" vertical="bottom" wrapText="0"/>
    </xf>
    <xf borderId="0" fillId="0" fontId="8" numFmtId="0" xfId="0" applyAlignment="1" applyFont="1">
      <alignment shrinkToFit="0" vertical="top" wrapText="1"/>
    </xf>
    <xf borderId="0" fillId="0" fontId="8" numFmtId="0" xfId="0" applyAlignment="1" applyFont="1">
      <alignment horizontal="center" shrinkToFit="0" vertical="top" wrapText="1"/>
    </xf>
    <xf borderId="0" fillId="0" fontId="2" numFmtId="0" xfId="0" applyAlignment="1" applyFont="1">
      <alignment shrinkToFit="0" vertical="top" wrapText="1"/>
    </xf>
    <xf borderId="0" fillId="0" fontId="2" numFmtId="0" xfId="0" applyAlignment="1" applyFont="1">
      <alignment horizontal="center" shrinkToFit="0" vertical="top" wrapText="1"/>
    </xf>
    <xf borderId="36" fillId="0" fontId="2" numFmtId="0" xfId="0" applyAlignment="1" applyBorder="1" applyFont="1">
      <alignment shrinkToFit="0" vertical="top" wrapText="1"/>
    </xf>
    <xf borderId="37" fillId="0" fontId="2" numFmtId="0" xfId="0" applyAlignment="1" applyBorder="1" applyFont="1">
      <alignment shrinkToFit="0" vertical="top" wrapText="1"/>
    </xf>
    <xf borderId="37" fillId="0" fontId="2" numFmtId="0" xfId="0" applyAlignment="1" applyBorder="1" applyFont="1">
      <alignment horizontal="center" shrinkToFit="0" vertical="top" wrapText="1"/>
    </xf>
    <xf borderId="38" fillId="0" fontId="2" numFmtId="0" xfId="0" applyAlignment="1" applyBorder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0.1" defaultRowHeight="15.0"/>
  <cols>
    <col customWidth="1" min="1" max="1" width="25.2"/>
    <col customWidth="1" min="2" max="2" width="16.4"/>
    <col customWidth="1" min="3" max="3" width="13.9"/>
    <col customWidth="1" min="4" max="4" width="11.8"/>
    <col customWidth="1" min="5" max="5" width="8.2"/>
    <col customWidth="1" min="6" max="6" width="3.4"/>
    <col customWidth="1" min="7" max="7" width="9.3"/>
    <col customWidth="1" min="8" max="8" width="12.3"/>
    <col customWidth="1" min="9" max="9" width="7.2"/>
    <col customWidth="1" min="10" max="10" width="2.1"/>
    <col customWidth="1" min="11" max="11" width="14.2"/>
    <col customWidth="1" min="12" max="12" width="10.2"/>
    <col customWidth="1" min="13" max="26" width="8.0"/>
  </cols>
  <sheetData>
    <row r="1" ht="26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B2" s="4"/>
      <c r="C2" s="5">
        <v>479000.0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2.75" customHeight="1">
      <c r="A3" s="7" t="s">
        <v>2</v>
      </c>
      <c r="B3" s="8"/>
      <c r="C3" s="9">
        <v>6.0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2.75" customHeight="1">
      <c r="A4" s="10" t="s">
        <v>3</v>
      </c>
      <c r="B4" s="11"/>
      <c r="C4" s="12">
        <f>'Break-even analysis'!Anschaffungskosten/'Break-even analysis'!Afa_Jahre</f>
        <v>79833.33333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.75" customHeight="1">
      <c r="A5" s="7" t="s">
        <v>4</v>
      </c>
      <c r="B5" s="8"/>
      <c r="C5" s="13">
        <v>0.1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2.75" customHeight="1">
      <c r="A6" s="10" t="s">
        <v>5</v>
      </c>
      <c r="B6" s="11"/>
      <c r="C6" s="12">
        <f>'Break-even analysis'!Anschaffungskosten*'Break-even analysis'!Zinssatz</f>
        <v>47900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3.5" customHeight="1">
      <c r="A7" s="14"/>
      <c r="B7" s="15" t="s">
        <v>6</v>
      </c>
      <c r="C7" s="16">
        <f>'Break-even analysis'!Afa_Jahr+'Break-even analysis'!Zinsen_Jahr</f>
        <v>127733.3333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2.75" customHeight="1">
      <c r="A8" s="6"/>
      <c r="B8" s="6"/>
      <c r="C8" s="1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6.25" customHeight="1">
      <c r="A9" s="1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8" t="s">
        <v>8</v>
      </c>
      <c r="B10" s="19">
        <v>2.0</v>
      </c>
      <c r="C10" s="20">
        <v>70.0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2.75" customHeight="1">
      <c r="A11" s="7" t="s">
        <v>9</v>
      </c>
      <c r="B11" s="8"/>
      <c r="C11" s="21">
        <v>6000.0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2.75" customHeight="1">
      <c r="A12" s="10" t="s">
        <v>10</v>
      </c>
      <c r="B12" s="22"/>
      <c r="C12" s="23">
        <v>6.5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2.75" customHeight="1">
      <c r="A13" s="7" t="s">
        <v>11</v>
      </c>
      <c r="B13" s="8"/>
      <c r="C13" s="24">
        <f>Calculadora!C8</f>
        <v>8.4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10" t="s">
        <v>12</v>
      </c>
      <c r="B14" s="11"/>
      <c r="C14" s="25">
        <f>SUM(C12:C13)</f>
        <v>14.9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2.75" customHeight="1">
      <c r="A15" s="6"/>
      <c r="B15" s="6"/>
      <c r="C15" s="2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6.25" customHeight="1">
      <c r="A16" s="1" t="s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7" t="s">
        <v>14</v>
      </c>
      <c r="B17" s="28"/>
      <c r="C17" s="29">
        <v>7.0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2.75" customHeight="1">
      <c r="A18" s="30" t="s">
        <v>15</v>
      </c>
      <c r="B18" s="31"/>
      <c r="C18" s="32">
        <f>Calculadora!C15</f>
        <v>59.09090909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2.75" customHeight="1">
      <c r="A19" s="6"/>
      <c r="B19" s="6"/>
      <c r="C19" s="2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46.5" customHeight="1">
      <c r="A20" s="33" t="s">
        <v>16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19.5" customHeight="1">
      <c r="A21" s="6"/>
      <c r="B21" s="6"/>
      <c r="C21" s="3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36" t="s">
        <v>17</v>
      </c>
      <c r="B22" s="37"/>
      <c r="C22" s="37"/>
      <c r="D22" s="37"/>
      <c r="E22" s="38"/>
      <c r="F22" s="39"/>
      <c r="G22" s="36" t="s">
        <v>18</v>
      </c>
      <c r="H22" s="37"/>
      <c r="I22" s="38"/>
      <c r="J22" s="40"/>
      <c r="K22" s="41" t="s">
        <v>19</v>
      </c>
      <c r="L22" s="4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48.0" customHeight="1">
      <c r="A23" s="43" t="s">
        <v>20</v>
      </c>
      <c r="B23" s="44" t="s">
        <v>21</v>
      </c>
      <c r="C23" s="44" t="s">
        <v>22</v>
      </c>
      <c r="D23" s="45" t="s">
        <v>23</v>
      </c>
      <c r="E23" s="44" t="s">
        <v>24</v>
      </c>
      <c r="F23" s="46"/>
      <c r="G23" s="44" t="s">
        <v>25</v>
      </c>
      <c r="H23" s="45" t="s">
        <v>21</v>
      </c>
      <c r="I23" s="44" t="s">
        <v>26</v>
      </c>
      <c r="J23" s="47"/>
      <c r="K23" s="45" t="s">
        <v>27</v>
      </c>
      <c r="L23" s="48" t="s">
        <v>28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49">
        <f>L24/'Break-even analysis'!Leistung_Maschine</f>
        <v>0</v>
      </c>
      <c r="B24" s="50">
        <f>A24*'Break-even analysis'!Personenzahl*'Break-even analysis'!Stundenlohn_Arbeiter</f>
        <v>0</v>
      </c>
      <c r="C24" s="50">
        <f>A24*'Break-even analysis'!Diesel_Ltr+A24*'Break-even analysis'!Schmierstoffe</f>
        <v>0</v>
      </c>
      <c r="D24" s="50">
        <f>'Break-even analysis'!Kosten_Jahr+B24+C24</f>
        <v>127733.3333</v>
      </c>
      <c r="E24" s="50"/>
      <c r="F24" s="51"/>
      <c r="G24" s="52">
        <f>ROUND(L24/'Break-even analysis'!Leistung_Hand,1)</f>
        <v>0</v>
      </c>
      <c r="H24" s="50">
        <f>G24*'Break-even analysis'!Stundenlohn_Arbeiter</f>
        <v>0</v>
      </c>
      <c r="I24" s="50"/>
      <c r="J24" s="47"/>
      <c r="K24" s="53">
        <f t="shared" ref="K24:K60" si="1">H24-D24</f>
        <v>-127733.3333</v>
      </c>
      <c r="L24" s="54">
        <v>0.0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55">
        <f>L25/'Break-even analysis'!Leistung_Maschine</f>
        <v>14.28571429</v>
      </c>
      <c r="B25" s="56">
        <f>'Break-even analysis'!Stundenlohn_Arbeiter*A25</f>
        <v>844.1558442</v>
      </c>
      <c r="C25" s="56">
        <f>(A25*'Break-even analysis'!Diesel_Ltr)+(A25*'Break-even analysis'!Schmierstoffe)</f>
        <v>212.8571429</v>
      </c>
      <c r="D25" s="56">
        <f>'Break-even analysis'!Kosten_Jahr+B25+C25</f>
        <v>128790.3463</v>
      </c>
      <c r="E25" s="56">
        <f t="shared" ref="E25:E60" si="2">D25/L25</f>
        <v>128.7903463</v>
      </c>
      <c r="F25" s="57"/>
      <c r="G25" s="58">
        <f>ROUND(L25/'Break-even analysis'!Leistung_Hand,1)</f>
        <v>142.9</v>
      </c>
      <c r="H25" s="56">
        <f>G25*'Break-even analysis'!Stundenlohn_Arbeiter</f>
        <v>8444.090909</v>
      </c>
      <c r="I25" s="56">
        <f t="shared" ref="I25:I60" si="3">H25/L25</f>
        <v>8.444090909</v>
      </c>
      <c r="J25" s="47"/>
      <c r="K25" s="59">
        <f t="shared" si="1"/>
        <v>-120346.2554</v>
      </c>
      <c r="L25" s="60">
        <v>1000.0</v>
      </c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ht="15.75" customHeight="1">
      <c r="A26" s="49">
        <f>L26/'Break-even analysis'!Leistung_Maschine</f>
        <v>28.57142857</v>
      </c>
      <c r="B26" s="50">
        <f>'Break-even analysis'!Stundenlohn_Arbeiter*A26</f>
        <v>1688.311688</v>
      </c>
      <c r="C26" s="50">
        <f>(A26*'Break-even analysis'!Diesel_Ltr)+(A26*'Break-even analysis'!Schmierstoffe)</f>
        <v>425.7142857</v>
      </c>
      <c r="D26" s="50">
        <f>'Break-even analysis'!Kosten_Jahr+B26+C26</f>
        <v>129847.3593</v>
      </c>
      <c r="E26" s="50">
        <f t="shared" si="2"/>
        <v>64.92367965</v>
      </c>
      <c r="F26" s="51"/>
      <c r="G26" s="62">
        <f>ROUND(L26/'Break-even analysis'!Leistung_Hand,1)</f>
        <v>285.7</v>
      </c>
      <c r="H26" s="50">
        <f>G26*'Break-even analysis'!Stundenlohn_Arbeiter</f>
        <v>16882.27273</v>
      </c>
      <c r="I26" s="50">
        <f t="shared" si="3"/>
        <v>8.441136364</v>
      </c>
      <c r="J26" s="47"/>
      <c r="K26" s="63">
        <f t="shared" si="1"/>
        <v>-112965.0866</v>
      </c>
      <c r="L26" s="64">
        <v>2000.0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65">
        <f>L27/'Break-even analysis'!Leistung_Maschine</f>
        <v>42.85714286</v>
      </c>
      <c r="B27" s="66">
        <f>'Break-even analysis'!Stundenlohn_Arbeiter*A27</f>
        <v>2532.467532</v>
      </c>
      <c r="C27" s="66">
        <f>(A27*'Break-even analysis'!Diesel_Ltr)+(A27*'Break-even analysis'!Schmierstoffe)</f>
        <v>638.5714286</v>
      </c>
      <c r="D27" s="66">
        <f>'Break-even analysis'!Kosten_Jahr+B27+C27</f>
        <v>130904.3723</v>
      </c>
      <c r="E27" s="66">
        <f t="shared" si="2"/>
        <v>43.63479076</v>
      </c>
      <c r="F27" s="51"/>
      <c r="G27" s="67">
        <f>ROUND(L27/'Break-even analysis'!Leistung_Hand,1)</f>
        <v>428.6</v>
      </c>
      <c r="H27" s="66">
        <f>G27*'Break-even analysis'!Stundenlohn_Arbeiter</f>
        <v>25326.36364</v>
      </c>
      <c r="I27" s="66">
        <f t="shared" si="3"/>
        <v>8.442121212</v>
      </c>
      <c r="J27" s="47"/>
      <c r="K27" s="63">
        <f t="shared" si="1"/>
        <v>-105578.0087</v>
      </c>
      <c r="L27" s="64">
        <v>3000.0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49">
        <f>L28/'Break-even analysis'!Leistung_Maschine</f>
        <v>57.14285714</v>
      </c>
      <c r="B28" s="50">
        <f>'Break-even analysis'!Stundenlohn_Arbeiter*A28</f>
        <v>3376.623377</v>
      </c>
      <c r="C28" s="50">
        <f>(A28*'Break-even analysis'!Diesel_Ltr)+(A28*'Break-even analysis'!Schmierstoffe)</f>
        <v>851.4285714</v>
      </c>
      <c r="D28" s="50">
        <f>'Break-even analysis'!Kosten_Jahr+B28+C28</f>
        <v>131961.3853</v>
      </c>
      <c r="E28" s="50">
        <f t="shared" si="2"/>
        <v>32.99034632</v>
      </c>
      <c r="F28" s="51"/>
      <c r="G28" s="62">
        <f>ROUND(L28/'Break-even analysis'!Leistung_Hand,1)</f>
        <v>571.4</v>
      </c>
      <c r="H28" s="50">
        <f>G28*'Break-even analysis'!Stundenlohn_Arbeiter</f>
        <v>33764.54545</v>
      </c>
      <c r="I28" s="50">
        <f t="shared" si="3"/>
        <v>8.441136364</v>
      </c>
      <c r="J28" s="47"/>
      <c r="K28" s="63">
        <f t="shared" si="1"/>
        <v>-98196.83983</v>
      </c>
      <c r="L28" s="64">
        <v>4000.0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65">
        <f>L29/'Break-even analysis'!Leistung_Maschine</f>
        <v>71.42857143</v>
      </c>
      <c r="B29" s="66">
        <f>'Break-even analysis'!Stundenlohn_Arbeiter*A29</f>
        <v>4220.779221</v>
      </c>
      <c r="C29" s="66">
        <f>(A29*'Break-even analysis'!Diesel_Ltr)+(A29*'Break-even analysis'!Schmierstoffe)</f>
        <v>1064.285714</v>
      </c>
      <c r="D29" s="66">
        <f>'Break-even analysis'!Kosten_Jahr+B29+C29</f>
        <v>133018.3983</v>
      </c>
      <c r="E29" s="66">
        <f t="shared" si="2"/>
        <v>26.60367965</v>
      </c>
      <c r="F29" s="51"/>
      <c r="G29" s="67">
        <f>ROUND(L29/'Break-even analysis'!Leistung_Hand,1)</f>
        <v>714.3</v>
      </c>
      <c r="H29" s="66">
        <f>G29*'Break-even analysis'!Stundenlohn_Arbeiter</f>
        <v>42208.63636</v>
      </c>
      <c r="I29" s="66">
        <f t="shared" si="3"/>
        <v>8.441727273</v>
      </c>
      <c r="J29" s="47"/>
      <c r="K29" s="63">
        <f t="shared" si="1"/>
        <v>-90809.7619</v>
      </c>
      <c r="L29" s="64">
        <v>5000.0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49">
        <f>L30/'Break-even analysis'!Leistung_Maschine</f>
        <v>85.71428571</v>
      </c>
      <c r="B30" s="50">
        <f>'Break-even analysis'!Stundenlohn_Arbeiter*A30</f>
        <v>5064.935065</v>
      </c>
      <c r="C30" s="50">
        <f>(A30*'Break-even analysis'!Diesel_Ltr)+(A30*'Break-even analysis'!Schmierstoffe)</f>
        <v>1277.142857</v>
      </c>
      <c r="D30" s="50">
        <f>'Break-even analysis'!Kosten_Jahr+B30+C30</f>
        <v>134075.4113</v>
      </c>
      <c r="E30" s="50">
        <f t="shared" si="2"/>
        <v>22.34590188</v>
      </c>
      <c r="F30" s="51"/>
      <c r="G30" s="62">
        <f>ROUND(L30/'Break-even analysis'!Leistung_Hand,1)</f>
        <v>857.1</v>
      </c>
      <c r="H30" s="50">
        <f>G30*'Break-even analysis'!Stundenlohn_Arbeiter</f>
        <v>50646.81818</v>
      </c>
      <c r="I30" s="50">
        <f t="shared" si="3"/>
        <v>8.441136364</v>
      </c>
      <c r="J30" s="47"/>
      <c r="K30" s="63">
        <f t="shared" si="1"/>
        <v>-83428.59307</v>
      </c>
      <c r="L30" s="64">
        <v>6000.0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65">
        <f>L31/'Break-even analysis'!Leistung_Maschine</f>
        <v>100</v>
      </c>
      <c r="B31" s="66">
        <f>'Break-even analysis'!Stundenlohn_Arbeiter*A31</f>
        <v>5909.090909</v>
      </c>
      <c r="C31" s="66">
        <f>(A31*'Break-even analysis'!Diesel_Ltr)+(A31*'Break-even analysis'!Schmierstoffe)</f>
        <v>1490</v>
      </c>
      <c r="D31" s="66">
        <f>'Break-even analysis'!Kosten_Jahr+B31+C31</f>
        <v>135132.4242</v>
      </c>
      <c r="E31" s="66">
        <f t="shared" si="2"/>
        <v>19.30463203</v>
      </c>
      <c r="F31" s="51"/>
      <c r="G31" s="67">
        <f>ROUND(L31/'Break-even analysis'!Leistung_Hand,1)</f>
        <v>1000</v>
      </c>
      <c r="H31" s="66">
        <f>G31*'Break-even analysis'!Stundenlohn_Arbeiter</f>
        <v>59090.90909</v>
      </c>
      <c r="I31" s="66">
        <f t="shared" si="3"/>
        <v>8.441558442</v>
      </c>
      <c r="J31" s="47"/>
      <c r="K31" s="63">
        <f t="shared" si="1"/>
        <v>-76041.51515</v>
      </c>
      <c r="L31" s="64">
        <v>7000.0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49">
        <f>L32/'Break-even analysis'!Leistung_Maschine</f>
        <v>114.2857143</v>
      </c>
      <c r="B32" s="50">
        <f>'Break-even analysis'!Stundenlohn_Arbeiter*A32</f>
        <v>6753.246753</v>
      </c>
      <c r="C32" s="50">
        <f>(A32*'Break-even analysis'!Diesel_Ltr)+(A32*'Break-even analysis'!Schmierstoffe)</f>
        <v>1702.857143</v>
      </c>
      <c r="D32" s="50">
        <f>'Break-even analysis'!Kosten_Jahr+B32+C32</f>
        <v>136189.4372</v>
      </c>
      <c r="E32" s="50">
        <f t="shared" si="2"/>
        <v>17.02367965</v>
      </c>
      <c r="F32" s="51"/>
      <c r="G32" s="62">
        <f>ROUND(L32/'Break-even analysis'!Leistung_Hand,1)</f>
        <v>1142.9</v>
      </c>
      <c r="H32" s="50">
        <f>G32*'Break-even analysis'!Stundenlohn_Arbeiter</f>
        <v>67535</v>
      </c>
      <c r="I32" s="50">
        <f t="shared" si="3"/>
        <v>8.441875</v>
      </c>
      <c r="J32" s="47"/>
      <c r="K32" s="63">
        <f t="shared" si="1"/>
        <v>-68654.43723</v>
      </c>
      <c r="L32" s="64">
        <v>8000.0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65">
        <f>L33/'Break-even analysis'!Leistung_Maschine</f>
        <v>128.5714286</v>
      </c>
      <c r="B33" s="66">
        <f>'Break-even analysis'!Stundenlohn_Arbeiter*A33</f>
        <v>7597.402597</v>
      </c>
      <c r="C33" s="66">
        <f>(A33*'Break-even analysis'!Diesel_Ltr)+(A33*'Break-even analysis'!Schmierstoffe)</f>
        <v>1915.714286</v>
      </c>
      <c r="D33" s="66">
        <f>'Break-even analysis'!Kosten_Jahr+B33+C33</f>
        <v>137246.4502</v>
      </c>
      <c r="E33" s="66">
        <f t="shared" si="2"/>
        <v>15.24960558</v>
      </c>
      <c r="F33" s="51"/>
      <c r="G33" s="67">
        <f>ROUND(L33/'Break-even analysis'!Leistung_Hand,1)</f>
        <v>1285.7</v>
      </c>
      <c r="H33" s="66">
        <f>G33*'Break-even analysis'!Stundenlohn_Arbeiter</f>
        <v>75973.18182</v>
      </c>
      <c r="I33" s="66">
        <f t="shared" si="3"/>
        <v>8.441464646</v>
      </c>
      <c r="J33" s="47"/>
      <c r="K33" s="63">
        <f t="shared" si="1"/>
        <v>-61273.2684</v>
      </c>
      <c r="L33" s="64">
        <v>9000.0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49">
        <f>L34/'Break-even analysis'!Leistung_Maschine</f>
        <v>142.8571429</v>
      </c>
      <c r="B34" s="50">
        <f>'Break-even analysis'!Stundenlohn_Arbeiter*A34</f>
        <v>8441.558442</v>
      </c>
      <c r="C34" s="50">
        <f>(A34*'Break-even analysis'!Diesel_Ltr)+(A34*'Break-even analysis'!Schmierstoffe)</f>
        <v>2128.571429</v>
      </c>
      <c r="D34" s="50">
        <f>'Break-even analysis'!Kosten_Jahr+B34+C34</f>
        <v>138303.4632</v>
      </c>
      <c r="E34" s="50">
        <f t="shared" si="2"/>
        <v>13.83034632</v>
      </c>
      <c r="F34" s="51"/>
      <c r="G34" s="62">
        <f>ROUND(L34/'Break-even analysis'!Leistung_Hand,1)</f>
        <v>1428.6</v>
      </c>
      <c r="H34" s="50">
        <f>G34*'Break-even analysis'!Stundenlohn_Arbeiter</f>
        <v>84417.27273</v>
      </c>
      <c r="I34" s="50">
        <f t="shared" si="3"/>
        <v>8.441727273</v>
      </c>
      <c r="J34" s="47"/>
      <c r="K34" s="63">
        <f t="shared" si="1"/>
        <v>-53886.19048</v>
      </c>
      <c r="L34" s="64">
        <v>10000.0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65">
        <f>L35/'Break-even analysis'!Leistung_Maschine</f>
        <v>157.1428571</v>
      </c>
      <c r="B35" s="66">
        <f>'Break-even analysis'!Stundenlohn_Arbeiter*A35</f>
        <v>9285.714286</v>
      </c>
      <c r="C35" s="66">
        <f>(A35*'Break-even analysis'!Diesel_Ltr)+(A35*'Break-even analysis'!Schmierstoffe)</f>
        <v>2341.428571</v>
      </c>
      <c r="D35" s="66">
        <f>'Break-even analysis'!Kosten_Jahr+B35+C35</f>
        <v>139360.4762</v>
      </c>
      <c r="E35" s="66">
        <f t="shared" si="2"/>
        <v>12.6691342</v>
      </c>
      <c r="F35" s="51"/>
      <c r="G35" s="67">
        <f>ROUND(L35/'Break-even analysis'!Leistung_Hand,1)</f>
        <v>1571.4</v>
      </c>
      <c r="H35" s="66">
        <f>G35*'Break-even analysis'!Stundenlohn_Arbeiter</f>
        <v>92855.45455</v>
      </c>
      <c r="I35" s="66">
        <f t="shared" si="3"/>
        <v>8.441404959</v>
      </c>
      <c r="J35" s="47"/>
      <c r="K35" s="63">
        <f t="shared" si="1"/>
        <v>-46505.02165</v>
      </c>
      <c r="L35" s="64">
        <v>11000.0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49">
        <f>L36/'Break-even analysis'!Leistung_Maschine</f>
        <v>171.4285714</v>
      </c>
      <c r="B36" s="50">
        <f>'Break-even analysis'!Stundenlohn_Arbeiter*A36</f>
        <v>10129.87013</v>
      </c>
      <c r="C36" s="50">
        <f>(A36*'Break-even analysis'!Diesel_Ltr)+(A36*'Break-even analysis'!Schmierstoffe)</f>
        <v>2554.285714</v>
      </c>
      <c r="D36" s="50">
        <f>'Break-even analysis'!Kosten_Jahr+B36+C36</f>
        <v>140417.4892</v>
      </c>
      <c r="E36" s="50">
        <f t="shared" si="2"/>
        <v>11.70145743</v>
      </c>
      <c r="F36" s="51"/>
      <c r="G36" s="62">
        <f>ROUND(L36/'Break-even analysis'!Leistung_Hand,1)</f>
        <v>1714.3</v>
      </c>
      <c r="H36" s="50">
        <f>G36*'Break-even analysis'!Stundenlohn_Arbeiter</f>
        <v>101299.5455</v>
      </c>
      <c r="I36" s="50">
        <f t="shared" si="3"/>
        <v>8.441628788</v>
      </c>
      <c r="J36" s="47"/>
      <c r="K36" s="63">
        <f t="shared" si="1"/>
        <v>-39117.94372</v>
      </c>
      <c r="L36" s="64">
        <v>12000.0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65">
        <f>L37/'Break-even analysis'!Leistung_Maschine</f>
        <v>185.7142857</v>
      </c>
      <c r="B37" s="66">
        <f>'Break-even analysis'!Stundenlohn_Arbeiter*A37</f>
        <v>10974.02597</v>
      </c>
      <c r="C37" s="66">
        <f>(A37*'Break-even analysis'!Diesel_Ltr)+(A37*'Break-even analysis'!Schmierstoffe)</f>
        <v>2767.142857</v>
      </c>
      <c r="D37" s="66">
        <f>'Break-even analysis'!Kosten_Jahr+B37+C37</f>
        <v>141474.5022</v>
      </c>
      <c r="E37" s="66">
        <f t="shared" si="2"/>
        <v>10.88265401</v>
      </c>
      <c r="F37" s="51"/>
      <c r="G37" s="67">
        <f>ROUND(L37/'Break-even analysis'!Leistung_Hand,1)</f>
        <v>1857.1</v>
      </c>
      <c r="H37" s="66">
        <f>G37*'Break-even analysis'!Stundenlohn_Arbeiter</f>
        <v>109737.7273</v>
      </c>
      <c r="I37" s="66">
        <f t="shared" si="3"/>
        <v>8.441363636</v>
      </c>
      <c r="J37" s="47"/>
      <c r="K37" s="63">
        <f t="shared" si="1"/>
        <v>-31736.77489</v>
      </c>
      <c r="L37" s="64">
        <v>13000.0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49">
        <f>L38/'Break-even analysis'!Leistung_Maschine</f>
        <v>200</v>
      </c>
      <c r="B38" s="50">
        <f>'Break-even analysis'!Stundenlohn_Arbeiter*A38</f>
        <v>11818.18182</v>
      </c>
      <c r="C38" s="50">
        <f>(A38*'Break-even analysis'!Diesel_Ltr)+(A38*'Break-even analysis'!Schmierstoffe)</f>
        <v>2980</v>
      </c>
      <c r="D38" s="50">
        <f>'Break-even analysis'!Kosten_Jahr+B38+C38</f>
        <v>142531.5152</v>
      </c>
      <c r="E38" s="50">
        <f t="shared" si="2"/>
        <v>10.18082251</v>
      </c>
      <c r="F38" s="51"/>
      <c r="G38" s="62">
        <f>ROUND(L38/'Break-even analysis'!Leistung_Hand,1)</f>
        <v>2000</v>
      </c>
      <c r="H38" s="50">
        <f>G38*'Break-even analysis'!Stundenlohn_Arbeiter</f>
        <v>118181.8182</v>
      </c>
      <c r="I38" s="50">
        <f t="shared" si="3"/>
        <v>8.441558442</v>
      </c>
      <c r="J38" s="47"/>
      <c r="K38" s="63">
        <f t="shared" si="1"/>
        <v>-24349.69697</v>
      </c>
      <c r="L38" s="64">
        <v>14000.0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65">
        <f>L39/'Break-even analysis'!Leistung_Maschine</f>
        <v>214.2857143</v>
      </c>
      <c r="B39" s="66">
        <f>'Break-even analysis'!Stundenlohn_Arbeiter*A39</f>
        <v>12662.33766</v>
      </c>
      <c r="C39" s="66">
        <f>(A39*'Break-even analysis'!Diesel_Ltr)+(A39*'Break-even analysis'!Schmierstoffe)</f>
        <v>3192.857143</v>
      </c>
      <c r="D39" s="66">
        <f>'Break-even analysis'!Kosten_Jahr+B39+C39</f>
        <v>143588.5281</v>
      </c>
      <c r="E39" s="66">
        <f t="shared" si="2"/>
        <v>9.572568543</v>
      </c>
      <c r="F39" s="68"/>
      <c r="G39" s="67">
        <f>ROUND(L39/'Break-even analysis'!Leistung_Hand,1)</f>
        <v>2142.9</v>
      </c>
      <c r="H39" s="66">
        <f>G39*'Break-even analysis'!Stundenlohn_Arbeiter</f>
        <v>126625.9091</v>
      </c>
      <c r="I39" s="66">
        <f t="shared" si="3"/>
        <v>8.441727273</v>
      </c>
      <c r="J39" s="69"/>
      <c r="K39" s="63">
        <f t="shared" si="1"/>
        <v>-16962.61905</v>
      </c>
      <c r="L39" s="64">
        <v>15000.0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49">
        <f>L40/'Break-even analysis'!Leistung_Maschine</f>
        <v>228.5714286</v>
      </c>
      <c r="B40" s="50">
        <f>'Break-even analysis'!Stundenlohn_Arbeiter*A40</f>
        <v>13506.49351</v>
      </c>
      <c r="C40" s="50">
        <f>(A40*'Break-even analysis'!Diesel_Ltr)+(A40*'Break-even analysis'!Schmierstoffe)</f>
        <v>3405.714286</v>
      </c>
      <c r="D40" s="50">
        <f>'Break-even analysis'!Kosten_Jahr+B40+C40</f>
        <v>144645.5411</v>
      </c>
      <c r="E40" s="50">
        <f t="shared" si="2"/>
        <v>9.04034632</v>
      </c>
      <c r="F40" s="51"/>
      <c r="G40" s="62">
        <f>ROUND(L40/'Break-even analysis'!Leistung_Hand,1)</f>
        <v>2285.7</v>
      </c>
      <c r="H40" s="50">
        <f>G40*'Break-even analysis'!Stundenlohn_Arbeiter</f>
        <v>135064.0909</v>
      </c>
      <c r="I40" s="50">
        <f t="shared" si="3"/>
        <v>8.441505682</v>
      </c>
      <c r="J40" s="6"/>
      <c r="K40" s="63">
        <f t="shared" si="1"/>
        <v>-9581.450216</v>
      </c>
      <c r="L40" s="64">
        <v>16000.0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65">
        <f>L41/'Break-even analysis'!Leistung_Maschine</f>
        <v>242.8571429</v>
      </c>
      <c r="B41" s="66">
        <f>'Break-even analysis'!Stundenlohn_Arbeiter*A41</f>
        <v>14350.64935</v>
      </c>
      <c r="C41" s="66">
        <f>(A41*'Break-even analysis'!Diesel_Ltr)+(A41*'Break-even analysis'!Schmierstoffe)</f>
        <v>3618.571429</v>
      </c>
      <c r="D41" s="66">
        <f>'Break-even analysis'!Kosten_Jahr+B41+C41</f>
        <v>145702.5541</v>
      </c>
      <c r="E41" s="66">
        <f t="shared" si="2"/>
        <v>8.570738477</v>
      </c>
      <c r="F41" s="68"/>
      <c r="G41" s="67">
        <f>ROUND(L41/'Break-even analysis'!Leistung_Hand,1)</f>
        <v>2428.6</v>
      </c>
      <c r="H41" s="66">
        <f>G41*'Break-even analysis'!Stundenlohn_Arbeiter</f>
        <v>143508.1818</v>
      </c>
      <c r="I41" s="66">
        <f t="shared" si="3"/>
        <v>8.441657754</v>
      </c>
      <c r="J41" s="6"/>
      <c r="K41" s="63">
        <f t="shared" si="1"/>
        <v>-2194.372294</v>
      </c>
      <c r="L41" s="64">
        <v>17000.0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49">
        <f>L42/'Break-even analysis'!Leistung_Maschine</f>
        <v>257.1428571</v>
      </c>
      <c r="B42" s="50">
        <f>'Break-even analysis'!Stundenlohn_Arbeiter*A42</f>
        <v>15194.80519</v>
      </c>
      <c r="C42" s="50">
        <f>(A42*'Break-even analysis'!Diesel_Ltr)+(A42*'Break-even analysis'!Schmierstoffe)</f>
        <v>3831.428571</v>
      </c>
      <c r="D42" s="50">
        <f>'Break-even analysis'!Kosten_Jahr+B42+C42</f>
        <v>146759.5671</v>
      </c>
      <c r="E42" s="50">
        <f t="shared" si="2"/>
        <v>8.153309283</v>
      </c>
      <c r="F42" s="51"/>
      <c r="G42" s="62">
        <f>ROUND(L42/'Break-even analysis'!Leistung_Hand,1)</f>
        <v>2571.4</v>
      </c>
      <c r="H42" s="50">
        <f>G42*'Break-even analysis'!Stundenlohn_Arbeiter</f>
        <v>151946.3636</v>
      </c>
      <c r="I42" s="50">
        <f t="shared" si="3"/>
        <v>8.441464646</v>
      </c>
      <c r="J42" s="6"/>
      <c r="K42" s="63">
        <f t="shared" si="1"/>
        <v>5186.796537</v>
      </c>
      <c r="L42" s="64">
        <v>18000.0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5">
        <f>L43/'Break-even analysis'!Leistung_Maschine</f>
        <v>271.4285714</v>
      </c>
      <c r="B43" s="66">
        <f>'Break-even analysis'!Stundenlohn_Arbeiter*A43</f>
        <v>16038.96104</v>
      </c>
      <c r="C43" s="66">
        <f>(A43*'Break-even analysis'!Diesel_Ltr)+(A43*'Break-even analysis'!Schmierstoffe)</f>
        <v>4044.285714</v>
      </c>
      <c r="D43" s="66">
        <f>'Break-even analysis'!Kosten_Jahr+B43+C43</f>
        <v>147816.5801</v>
      </c>
      <c r="E43" s="66">
        <f t="shared" si="2"/>
        <v>7.779820005</v>
      </c>
      <c r="F43" s="68"/>
      <c r="G43" s="67">
        <f>ROUND(L43/'Break-even analysis'!Leistung_Hand,1)</f>
        <v>2714.3</v>
      </c>
      <c r="H43" s="66">
        <f>G43*'Break-even analysis'!Stundenlohn_Arbeiter</f>
        <v>160390.4545</v>
      </c>
      <c r="I43" s="66">
        <f t="shared" si="3"/>
        <v>8.441602871</v>
      </c>
      <c r="J43" s="6"/>
      <c r="K43" s="63">
        <f t="shared" si="1"/>
        <v>12573.87446</v>
      </c>
      <c r="L43" s="64">
        <v>19000.0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49">
        <f>L44/'Break-even analysis'!Leistung_Maschine</f>
        <v>285.7142857</v>
      </c>
      <c r="B44" s="50">
        <f>'Break-even analysis'!Stundenlohn_Arbeiter*A44</f>
        <v>16883.11688</v>
      </c>
      <c r="C44" s="50">
        <f>(A44*'Break-even analysis'!Diesel_Ltr)+(A44*'Break-even analysis'!Schmierstoffe)</f>
        <v>4257.142857</v>
      </c>
      <c r="D44" s="50">
        <f>'Break-even analysis'!Kosten_Jahr+B44+C44</f>
        <v>148873.5931</v>
      </c>
      <c r="E44" s="50">
        <f t="shared" si="2"/>
        <v>7.443679654</v>
      </c>
      <c r="F44" s="51"/>
      <c r="G44" s="62">
        <f>ROUND(L44/'Break-even analysis'!Leistung_Hand,1)</f>
        <v>2857.1</v>
      </c>
      <c r="H44" s="50">
        <f>G44*'Break-even analysis'!Stundenlohn_Arbeiter</f>
        <v>168828.6364</v>
      </c>
      <c r="I44" s="50">
        <f t="shared" si="3"/>
        <v>8.441431818</v>
      </c>
      <c r="J44" s="6"/>
      <c r="K44" s="63">
        <f t="shared" si="1"/>
        <v>19955.04329</v>
      </c>
      <c r="L44" s="64">
        <v>20000.0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70">
        <f>L45/'Break-even analysis'!Leistung_Maschine</f>
        <v>357.1428571</v>
      </c>
      <c r="B45" s="66">
        <f>'Break-even analysis'!Stundenlohn_Arbeiter*A45</f>
        <v>21103.8961</v>
      </c>
      <c r="C45" s="66">
        <f>(A45*'Break-even analysis'!Diesel_Ltr)+(A45*'Break-even analysis'!Schmierstoffe)</f>
        <v>5321.428571</v>
      </c>
      <c r="D45" s="66">
        <f>'Break-even analysis'!Kosten_Jahr+B45+C45</f>
        <v>154158.658</v>
      </c>
      <c r="E45" s="66">
        <f t="shared" si="2"/>
        <v>6.16634632</v>
      </c>
      <c r="F45" s="51"/>
      <c r="G45" s="71">
        <f>ROUND(L45/'Break-even analysis'!Leistung_Hand,1)</f>
        <v>3571.4</v>
      </c>
      <c r="H45" s="72">
        <f>G45*'Break-even analysis'!Stundenlohn_Arbeiter</f>
        <v>211037.2727</v>
      </c>
      <c r="I45" s="72">
        <f t="shared" si="3"/>
        <v>8.441490909</v>
      </c>
      <c r="J45" s="6"/>
      <c r="K45" s="63">
        <f t="shared" si="1"/>
        <v>56878.61472</v>
      </c>
      <c r="L45" s="64">
        <v>25000.0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49">
        <f>L46/'Break-even analysis'!Leistung_Maschine</f>
        <v>428.5714286</v>
      </c>
      <c r="B46" s="50">
        <f>'Break-even analysis'!Stundenlohn_Arbeiter*A46</f>
        <v>25324.67532</v>
      </c>
      <c r="C46" s="50">
        <f>(A46*'Break-even analysis'!Diesel_Ltr)+(A46*'Break-even analysis'!Schmierstoffe)</f>
        <v>6385.714286</v>
      </c>
      <c r="D46" s="50">
        <f>'Break-even analysis'!Kosten_Jahr+B46+C46</f>
        <v>159443.7229</v>
      </c>
      <c r="E46" s="50">
        <f t="shared" si="2"/>
        <v>5.314790765</v>
      </c>
      <c r="F46" s="51"/>
      <c r="G46" s="62">
        <f>ROUND(L46/'Break-even analysis'!Leistung_Hand,1)</f>
        <v>4285.7</v>
      </c>
      <c r="H46" s="50">
        <f>G46*'Break-even analysis'!Stundenlohn_Arbeiter</f>
        <v>253245.9091</v>
      </c>
      <c r="I46" s="50">
        <f t="shared" si="3"/>
        <v>8.441530303</v>
      </c>
      <c r="J46" s="6"/>
      <c r="K46" s="63">
        <f t="shared" si="1"/>
        <v>93802.18615</v>
      </c>
      <c r="L46" s="64">
        <v>30000.0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70">
        <f>L47/'Break-even analysis'!Leistung_Maschine</f>
        <v>500</v>
      </c>
      <c r="B47" s="66">
        <f>'Break-even analysis'!Stundenlohn_Arbeiter*A47</f>
        <v>29545.45455</v>
      </c>
      <c r="C47" s="66">
        <f>(A47*'Break-even analysis'!Diesel_Ltr)+(A47*'Break-even analysis'!Schmierstoffe)</f>
        <v>7450</v>
      </c>
      <c r="D47" s="66">
        <f>'Break-even analysis'!Kosten_Jahr+B47+C47</f>
        <v>164728.7879</v>
      </c>
      <c r="E47" s="66">
        <f t="shared" si="2"/>
        <v>4.706536797</v>
      </c>
      <c r="F47" s="51"/>
      <c r="G47" s="71">
        <f>ROUND(L47/'Break-even analysis'!Leistung_Hand,1)</f>
        <v>5000</v>
      </c>
      <c r="H47" s="66">
        <f>G47*'Break-even analysis'!Stundenlohn_Arbeiter</f>
        <v>295454.5455</v>
      </c>
      <c r="I47" s="66">
        <f t="shared" si="3"/>
        <v>8.441558442</v>
      </c>
      <c r="J47" s="6"/>
      <c r="K47" s="63">
        <f t="shared" si="1"/>
        <v>130725.7576</v>
      </c>
      <c r="L47" s="64">
        <v>35000.0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49">
        <f>L48/'Break-even analysis'!Leistung_Maschine</f>
        <v>571.4285714</v>
      </c>
      <c r="B48" s="50">
        <f>'Break-even analysis'!Stundenlohn_Arbeiter*A48</f>
        <v>33766.23377</v>
      </c>
      <c r="C48" s="50">
        <f>(A48*'Break-even analysis'!Diesel_Ltr)+(A48*'Break-even analysis'!Schmierstoffe)</f>
        <v>8514.285714</v>
      </c>
      <c r="D48" s="50">
        <f>'Break-even analysis'!Kosten_Jahr+B48+C48</f>
        <v>170013.8528</v>
      </c>
      <c r="E48" s="50">
        <f t="shared" si="2"/>
        <v>4.25034632</v>
      </c>
      <c r="F48" s="51"/>
      <c r="G48" s="62">
        <f>ROUND(L48/'Break-even analysis'!Leistung_Hand,1)</f>
        <v>5714.3</v>
      </c>
      <c r="H48" s="50">
        <f>G48*'Break-even analysis'!Stundenlohn_Arbeiter</f>
        <v>337663.1818</v>
      </c>
      <c r="I48" s="50">
        <f t="shared" si="3"/>
        <v>8.441579545</v>
      </c>
      <c r="J48" s="6"/>
      <c r="K48" s="63">
        <f t="shared" si="1"/>
        <v>167649.329</v>
      </c>
      <c r="L48" s="64">
        <v>40000.0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70">
        <f>L49/'Break-even analysis'!Leistung_Maschine</f>
        <v>642.8571429</v>
      </c>
      <c r="B49" s="66">
        <f>'Break-even analysis'!Stundenlohn_Arbeiter*A49</f>
        <v>37987.01299</v>
      </c>
      <c r="C49" s="66">
        <f>(A49*'Break-even analysis'!Diesel_Ltr)+(A49*'Break-even analysis'!Schmierstoffe)</f>
        <v>9578.571429</v>
      </c>
      <c r="D49" s="66">
        <f>'Break-even analysis'!Kosten_Jahr+B49+C49</f>
        <v>175298.9177</v>
      </c>
      <c r="E49" s="66">
        <f t="shared" si="2"/>
        <v>3.895531506</v>
      </c>
      <c r="F49" s="51"/>
      <c r="G49" s="71">
        <f>ROUND(L49/'Break-even analysis'!Leistung_Hand,1)</f>
        <v>6428.6</v>
      </c>
      <c r="H49" s="66">
        <f>G49*'Break-even analysis'!Stundenlohn_Arbeiter</f>
        <v>379871.8182</v>
      </c>
      <c r="I49" s="66">
        <f t="shared" si="3"/>
        <v>8.44159596</v>
      </c>
      <c r="J49" s="6"/>
      <c r="K49" s="63">
        <f t="shared" si="1"/>
        <v>204572.9004</v>
      </c>
      <c r="L49" s="64">
        <v>45000.0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49">
        <f>L50/'Break-even analysis'!Leistung_Maschine</f>
        <v>714.2857143</v>
      </c>
      <c r="B50" s="50">
        <f>'Break-even analysis'!Stundenlohn_Arbeiter*A50</f>
        <v>42207.79221</v>
      </c>
      <c r="C50" s="50">
        <f>(A50*'Break-even analysis'!Diesel_Ltr)+(A50*'Break-even analysis'!Schmierstoffe)</f>
        <v>10642.85714</v>
      </c>
      <c r="D50" s="50">
        <f>'Break-even analysis'!Kosten_Jahr+B50+C50</f>
        <v>180583.9827</v>
      </c>
      <c r="E50" s="50">
        <f t="shared" si="2"/>
        <v>3.611679654</v>
      </c>
      <c r="F50" s="51"/>
      <c r="G50" s="62">
        <f>ROUND(L50/'Break-even analysis'!Leistung_Hand,1)</f>
        <v>7142.9</v>
      </c>
      <c r="H50" s="50">
        <f>G50*'Break-even analysis'!Stundenlohn_Arbeiter</f>
        <v>422080.4545</v>
      </c>
      <c r="I50" s="50">
        <f t="shared" si="3"/>
        <v>8.441609091</v>
      </c>
      <c r="J50" s="6"/>
      <c r="K50" s="63">
        <f t="shared" si="1"/>
        <v>241496.4719</v>
      </c>
      <c r="L50" s="64">
        <v>50000.0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70">
        <f>L51/'Break-even analysis'!Leistung_Maschine</f>
        <v>785.7142857</v>
      </c>
      <c r="B51" s="66">
        <f>'Break-even analysis'!Stundenlohn_Arbeiter*A51</f>
        <v>46428.57143</v>
      </c>
      <c r="C51" s="66">
        <f>(A51*'Break-even analysis'!Diesel_Ltr)+(A51*'Break-even analysis'!Schmierstoffe)</f>
        <v>11707.14286</v>
      </c>
      <c r="D51" s="66">
        <f>'Break-even analysis'!Kosten_Jahr+B51+C51</f>
        <v>185869.0476</v>
      </c>
      <c r="E51" s="66">
        <f t="shared" si="2"/>
        <v>3.379437229</v>
      </c>
      <c r="F51" s="51"/>
      <c r="G51" s="71">
        <f>ROUND(L51/'Break-even analysis'!Leistung_Hand,1)</f>
        <v>7857.1</v>
      </c>
      <c r="H51" s="66">
        <f>G51*'Break-even analysis'!Stundenlohn_Arbeiter</f>
        <v>464283.1818</v>
      </c>
      <c r="I51" s="66">
        <f t="shared" si="3"/>
        <v>8.441512397</v>
      </c>
      <c r="J51" s="6"/>
      <c r="K51" s="63">
        <f t="shared" si="1"/>
        <v>278414.1342</v>
      </c>
      <c r="L51" s="64">
        <v>55000.0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49">
        <f>L52/'Break-even analysis'!Leistung_Maschine</f>
        <v>857.1428571</v>
      </c>
      <c r="B52" s="50">
        <f>'Break-even analysis'!Stundenlohn_Arbeiter*A52</f>
        <v>50649.35065</v>
      </c>
      <c r="C52" s="50">
        <f>(A52*'Break-even analysis'!Diesel_Ltr)+(A52*'Break-even analysis'!Schmierstoffe)</f>
        <v>12771.42857</v>
      </c>
      <c r="D52" s="50">
        <f>'Break-even analysis'!Kosten_Jahr+B52+C52</f>
        <v>191154.1126</v>
      </c>
      <c r="E52" s="50">
        <f t="shared" si="2"/>
        <v>3.185901876</v>
      </c>
      <c r="F52" s="51"/>
      <c r="G52" s="62">
        <f>ROUND(L52/'Break-even analysis'!Leistung_Hand,1)</f>
        <v>8571.4</v>
      </c>
      <c r="H52" s="50">
        <f>G52*'Break-even analysis'!Stundenlohn_Arbeiter</f>
        <v>506491.8182</v>
      </c>
      <c r="I52" s="50">
        <f t="shared" si="3"/>
        <v>8.441530303</v>
      </c>
      <c r="J52" s="6"/>
      <c r="K52" s="63">
        <f t="shared" si="1"/>
        <v>315337.7056</v>
      </c>
      <c r="L52" s="64">
        <v>60000.0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70">
        <f>L53/'Break-even analysis'!Leistung_Maschine</f>
        <v>928.5714286</v>
      </c>
      <c r="B53" s="66">
        <f>'Break-even analysis'!Stundenlohn_Arbeiter*A53</f>
        <v>54870.12987</v>
      </c>
      <c r="C53" s="66">
        <f>(A53*'Break-even analysis'!Diesel_Ltr)+(A53*'Break-even analysis'!Schmierstoffe)</f>
        <v>13835.71429</v>
      </c>
      <c r="D53" s="66">
        <f>'Break-even analysis'!Kosten_Jahr+B53+C53</f>
        <v>196439.1775</v>
      </c>
      <c r="E53" s="66">
        <f t="shared" si="2"/>
        <v>3.022141192</v>
      </c>
      <c r="F53" s="51"/>
      <c r="G53" s="71">
        <f>ROUND(L53/'Break-even analysis'!Leistung_Hand,1)</f>
        <v>9285.7</v>
      </c>
      <c r="H53" s="66">
        <f>G53*'Break-even analysis'!Stundenlohn_Arbeiter</f>
        <v>548700.4545</v>
      </c>
      <c r="I53" s="66">
        <f t="shared" si="3"/>
        <v>8.441545455</v>
      </c>
      <c r="J53" s="6"/>
      <c r="K53" s="63">
        <f t="shared" si="1"/>
        <v>352261.2771</v>
      </c>
      <c r="L53" s="64">
        <v>65000.0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49">
        <f>L54/'Break-even analysis'!Leistung_Maschine</f>
        <v>1000</v>
      </c>
      <c r="B54" s="50">
        <f>'Break-even analysis'!Stundenlohn_Arbeiter*A54</f>
        <v>59090.90909</v>
      </c>
      <c r="C54" s="50">
        <f>(A54*'Break-even analysis'!Diesel_Ltr)+(A54*'Break-even analysis'!Schmierstoffe)</f>
        <v>14900</v>
      </c>
      <c r="D54" s="50">
        <f>'Break-even analysis'!Kosten_Jahr+B54+C54</f>
        <v>201724.2424</v>
      </c>
      <c r="E54" s="50">
        <f t="shared" si="2"/>
        <v>2.881774892</v>
      </c>
      <c r="F54" s="51"/>
      <c r="G54" s="62">
        <f>ROUND(L54/'Break-even analysis'!Leistung_Hand,1)</f>
        <v>10000</v>
      </c>
      <c r="H54" s="50">
        <f>G54*'Break-even analysis'!Stundenlohn_Arbeiter</f>
        <v>590909.0909</v>
      </c>
      <c r="I54" s="50">
        <f t="shared" si="3"/>
        <v>8.441558442</v>
      </c>
      <c r="J54" s="6"/>
      <c r="K54" s="63">
        <f t="shared" si="1"/>
        <v>389184.8485</v>
      </c>
      <c r="L54" s="64">
        <v>70000.0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70">
        <f>L55/'Break-even analysis'!Leistung_Maschine</f>
        <v>1071.428571</v>
      </c>
      <c r="B55" s="66">
        <f>'Break-even analysis'!Stundenlohn_Arbeiter*A55</f>
        <v>63311.68831</v>
      </c>
      <c r="C55" s="66">
        <f>(A55*'Break-even analysis'!Diesel_Ltr)+(A55*'Break-even analysis'!Schmierstoffe)</f>
        <v>15964.28571</v>
      </c>
      <c r="D55" s="66">
        <f>'Break-even analysis'!Kosten_Jahr+B55+C55</f>
        <v>207009.3074</v>
      </c>
      <c r="E55" s="66">
        <f t="shared" si="2"/>
        <v>2.760124098</v>
      </c>
      <c r="F55" s="51"/>
      <c r="G55" s="71">
        <f>ROUND(L55/'Break-even analysis'!Leistung_Hand,1)</f>
        <v>10714.3</v>
      </c>
      <c r="H55" s="66">
        <f>G55*'Break-even analysis'!Stundenlohn_Arbeiter</f>
        <v>633117.7273</v>
      </c>
      <c r="I55" s="66">
        <f t="shared" si="3"/>
        <v>8.441569697</v>
      </c>
      <c r="J55" s="6"/>
      <c r="K55" s="63">
        <f t="shared" si="1"/>
        <v>426108.4199</v>
      </c>
      <c r="L55" s="64">
        <v>75000.0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49">
        <f>L56/'Break-even analysis'!Leistung_Maschine</f>
        <v>1142.857143</v>
      </c>
      <c r="B56" s="50">
        <f>'Break-even analysis'!Stundenlohn_Arbeiter*A56</f>
        <v>67532.46753</v>
      </c>
      <c r="C56" s="50">
        <f>(A56*'Break-even analysis'!Diesel_Ltr)+(A56*'Break-even analysis'!Schmierstoffe)</f>
        <v>17028.57143</v>
      </c>
      <c r="D56" s="50">
        <f>'Break-even analysis'!Kosten_Jahr+B56+C56</f>
        <v>212294.3723</v>
      </c>
      <c r="E56" s="50">
        <f t="shared" si="2"/>
        <v>2.653679654</v>
      </c>
      <c r="F56" s="51"/>
      <c r="G56" s="62">
        <f>ROUND(L56/'Break-even analysis'!Leistung_Hand,1)</f>
        <v>11428.6</v>
      </c>
      <c r="H56" s="50">
        <f>G56*'Break-even analysis'!Stundenlohn_Arbeiter</f>
        <v>675326.3636</v>
      </c>
      <c r="I56" s="50">
        <f t="shared" si="3"/>
        <v>8.441579545</v>
      </c>
      <c r="J56" s="6"/>
      <c r="K56" s="63">
        <f t="shared" si="1"/>
        <v>463031.9913</v>
      </c>
      <c r="L56" s="64">
        <v>80000.0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70">
        <f>L57/'Break-even analysis'!Leistung_Maschine</f>
        <v>1214.285714</v>
      </c>
      <c r="B57" s="66">
        <f>'Break-even analysis'!Stundenlohn_Arbeiter*A57</f>
        <v>71753.24675</v>
      </c>
      <c r="C57" s="66">
        <f>(A57*'Break-even analysis'!Diesel_Ltr)+(A57*'Break-even analysis'!Schmierstoffe)</f>
        <v>18092.85714</v>
      </c>
      <c r="D57" s="66">
        <f>'Break-even analysis'!Kosten_Jahr+B57+C57</f>
        <v>217579.4372</v>
      </c>
      <c r="E57" s="66">
        <f t="shared" si="2"/>
        <v>2.559758085</v>
      </c>
      <c r="F57" s="51"/>
      <c r="G57" s="71">
        <f>ROUND(L57/'Break-even analysis'!Leistung_Hand,1)</f>
        <v>12142.9</v>
      </c>
      <c r="H57" s="66">
        <f>G57*'Break-even analysis'!Stundenlohn_Arbeiter</f>
        <v>717535</v>
      </c>
      <c r="I57" s="66">
        <f t="shared" si="3"/>
        <v>8.441588235</v>
      </c>
      <c r="J57" s="6"/>
      <c r="K57" s="63">
        <f t="shared" si="1"/>
        <v>499955.5628</v>
      </c>
      <c r="L57" s="64">
        <v>85000.0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49">
        <f>L58/'Break-even analysis'!Leistung_Maschine</f>
        <v>1285.714286</v>
      </c>
      <c r="B58" s="50">
        <f>'Break-even analysis'!Stundenlohn_Arbeiter*A58</f>
        <v>75974.02597</v>
      </c>
      <c r="C58" s="50">
        <f>(A58*'Break-even analysis'!Diesel_Ltr)+(A58*'Break-even analysis'!Schmierstoffe)</f>
        <v>19157.14286</v>
      </c>
      <c r="D58" s="50">
        <f>'Break-even analysis'!Kosten_Jahr+B58+C58</f>
        <v>222864.5022</v>
      </c>
      <c r="E58" s="50">
        <f t="shared" si="2"/>
        <v>2.476272246</v>
      </c>
      <c r="F58" s="51"/>
      <c r="G58" s="62">
        <f>ROUND(L58/'Break-even analysis'!Leistung_Hand,1)</f>
        <v>12857.1</v>
      </c>
      <c r="H58" s="50">
        <f>G58*'Break-even analysis'!Stundenlohn_Arbeiter</f>
        <v>759737.7273</v>
      </c>
      <c r="I58" s="50">
        <f t="shared" si="3"/>
        <v>8.441530303</v>
      </c>
      <c r="J58" s="6"/>
      <c r="K58" s="63">
        <f t="shared" si="1"/>
        <v>536873.2251</v>
      </c>
      <c r="L58" s="64">
        <v>90000.0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70">
        <f>L59/'Break-even analysis'!Leistung_Maschine</f>
        <v>1357.142857</v>
      </c>
      <c r="B59" s="66">
        <f>'Break-even analysis'!Stundenlohn_Arbeiter*A59</f>
        <v>80194.80519</v>
      </c>
      <c r="C59" s="66">
        <f>(A59*'Break-even analysis'!Diesel_Ltr)+(A59*'Break-even analysis'!Schmierstoffe)</f>
        <v>20221.42857</v>
      </c>
      <c r="D59" s="66">
        <f>'Break-even analysis'!Kosten_Jahr+B59+C59</f>
        <v>228149.5671</v>
      </c>
      <c r="E59" s="66">
        <f t="shared" si="2"/>
        <v>2.401574391</v>
      </c>
      <c r="F59" s="51"/>
      <c r="G59" s="71">
        <f>ROUND(L59/'Break-even analysis'!Leistung_Hand,1)</f>
        <v>13571.4</v>
      </c>
      <c r="H59" s="66">
        <f>G59*'Break-even analysis'!Stundenlohn_Arbeiter</f>
        <v>801946.3636</v>
      </c>
      <c r="I59" s="66">
        <f t="shared" si="3"/>
        <v>8.44154067</v>
      </c>
      <c r="J59" s="6"/>
      <c r="K59" s="63">
        <f t="shared" si="1"/>
        <v>573796.7965</v>
      </c>
      <c r="L59" s="64">
        <v>95000.0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49">
        <f>L60/'Break-even analysis'!Leistung_Maschine</f>
        <v>1428.571429</v>
      </c>
      <c r="B60" s="50">
        <f>'Break-even analysis'!Stundenlohn_Arbeiter*A60</f>
        <v>84415.58442</v>
      </c>
      <c r="C60" s="50">
        <f>(A60*'Break-even analysis'!Diesel_Ltr)+(A60*'Break-even analysis'!Schmierstoffe)</f>
        <v>21285.71429</v>
      </c>
      <c r="D60" s="50">
        <f>'Break-even analysis'!Kosten_Jahr+B60+C60</f>
        <v>233434.632</v>
      </c>
      <c r="E60" s="50">
        <f t="shared" si="2"/>
        <v>2.33434632</v>
      </c>
      <c r="F60" s="51"/>
      <c r="G60" s="62">
        <f>ROUND(L60/'Break-even analysis'!Leistung_Hand,1)</f>
        <v>14285.7</v>
      </c>
      <c r="H60" s="50">
        <f>G60*'Break-even analysis'!Stundenlohn_Arbeiter</f>
        <v>844155</v>
      </c>
      <c r="I60" s="50">
        <f t="shared" si="3"/>
        <v>8.44155</v>
      </c>
      <c r="J60" s="6"/>
      <c r="K60" s="63">
        <f t="shared" si="1"/>
        <v>610720.368</v>
      </c>
      <c r="L60" s="64">
        <v>100000.0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75" customHeight="1">
      <c r="A61" s="6"/>
      <c r="B61" s="50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2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2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">
    <mergeCell ref="A22:E22"/>
    <mergeCell ref="G22:I22"/>
    <mergeCell ref="J22:J39"/>
  </mergeCells>
  <printOptions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1" width="8.0"/>
    <col customWidth="1" min="2" max="2" width="28.4"/>
    <col customWidth="1" min="3" max="3" width="10.6"/>
    <col customWidth="1" min="4" max="26" width="8.0"/>
  </cols>
  <sheetData>
    <row r="2" ht="15.75" customHeight="1"/>
    <row r="3">
      <c r="B3" s="73" t="s">
        <v>29</v>
      </c>
      <c r="C3" s="74"/>
    </row>
    <row r="4">
      <c r="B4" s="75" t="s">
        <v>30</v>
      </c>
      <c r="C4" s="76">
        <f>'Break-even analysis'!Reparaturkosten</f>
        <v>6000</v>
      </c>
    </row>
    <row r="5">
      <c r="B5" s="75" t="s">
        <v>31</v>
      </c>
      <c r="C5" s="77">
        <v>50000.0</v>
      </c>
    </row>
    <row r="6">
      <c r="B6" s="75" t="s">
        <v>32</v>
      </c>
      <c r="C6" s="77">
        <v>70.0</v>
      </c>
    </row>
    <row r="7">
      <c r="B7" s="75" t="s">
        <v>33</v>
      </c>
      <c r="C7" s="77">
        <f>C5/C6</f>
        <v>714.2857143</v>
      </c>
    </row>
    <row r="8" ht="15.75" customHeight="1">
      <c r="B8" s="78" t="s">
        <v>34</v>
      </c>
      <c r="C8" s="79">
        <f>C4/C7</f>
        <v>8.4</v>
      </c>
    </row>
    <row r="9">
      <c r="C9" s="80"/>
    </row>
    <row r="10" ht="15.75" customHeight="1"/>
    <row r="11">
      <c r="B11" s="73" t="s">
        <v>35</v>
      </c>
      <c r="C11" s="81">
        <v>2600.0</v>
      </c>
    </row>
    <row r="12">
      <c r="B12" s="75" t="s">
        <v>36</v>
      </c>
      <c r="C12" s="76">
        <f>C11*2</f>
        <v>5200</v>
      </c>
    </row>
    <row r="13">
      <c r="B13" s="75" t="s">
        <v>37</v>
      </c>
      <c r="C13" s="76">
        <f>C12/22</f>
        <v>236.3636364</v>
      </c>
    </row>
    <row r="14">
      <c r="B14" s="75" t="s">
        <v>38</v>
      </c>
      <c r="C14" s="76">
        <f>C13/8</f>
        <v>29.54545455</v>
      </c>
    </row>
    <row r="15" ht="16.5" customHeight="1">
      <c r="A15" s="82"/>
      <c r="B15" s="83" t="s">
        <v>39</v>
      </c>
      <c r="C15" s="79">
        <f>C14*2</f>
        <v>59.09090909</v>
      </c>
      <c r="D15" s="82"/>
    </row>
    <row r="16">
      <c r="A16" s="84"/>
      <c r="B16" s="84"/>
      <c r="C16" s="85"/>
      <c r="D16" s="84"/>
    </row>
    <row r="18">
      <c r="B18" s="8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0.1" defaultRowHeight="15.0"/>
  <cols>
    <col customWidth="1" min="1" max="1" width="0.9"/>
    <col customWidth="1" min="2" max="2" width="50.1"/>
    <col customWidth="1" min="3" max="3" width="1.2"/>
    <col customWidth="1" min="4" max="4" width="4.3"/>
    <col customWidth="1" min="5" max="6" width="12.4"/>
    <col customWidth="1" min="7" max="26" width="8.0"/>
  </cols>
  <sheetData>
    <row r="1" ht="31.5" customHeight="1">
      <c r="B1" s="86" t="s">
        <v>40</v>
      </c>
      <c r="C1" s="86"/>
      <c r="D1" s="87"/>
      <c r="E1" s="87"/>
      <c r="F1" s="87"/>
    </row>
    <row r="2" ht="15.75" customHeight="1">
      <c r="B2" s="86" t="s">
        <v>41</v>
      </c>
      <c r="C2" s="86"/>
      <c r="D2" s="87"/>
      <c r="E2" s="87"/>
      <c r="F2" s="87"/>
    </row>
    <row r="3">
      <c r="B3" s="88"/>
      <c r="C3" s="88"/>
      <c r="D3" s="89"/>
      <c r="E3" s="89"/>
      <c r="F3" s="89"/>
    </row>
    <row r="4" ht="45.0" customHeight="1">
      <c r="B4" s="88" t="s">
        <v>42</v>
      </c>
      <c r="C4" s="88"/>
      <c r="D4" s="89"/>
      <c r="E4" s="89"/>
      <c r="F4" s="89"/>
    </row>
    <row r="5">
      <c r="B5" s="88"/>
      <c r="C5" s="88"/>
      <c r="D5" s="89"/>
      <c r="E5" s="89"/>
      <c r="F5" s="89"/>
    </row>
    <row r="6" ht="31.5" customHeight="1">
      <c r="B6" s="86" t="s">
        <v>43</v>
      </c>
      <c r="C6" s="86"/>
      <c r="D6" s="87"/>
      <c r="E6" s="87" t="s">
        <v>44</v>
      </c>
      <c r="F6" s="87" t="s">
        <v>45</v>
      </c>
    </row>
    <row r="7" ht="15.75" customHeight="1">
      <c r="B7" s="88"/>
      <c r="C7" s="88"/>
      <c r="D7" s="89"/>
      <c r="E7" s="89"/>
      <c r="F7" s="89"/>
    </row>
    <row r="8" ht="60.75" customHeight="1">
      <c r="B8" s="90" t="s">
        <v>46</v>
      </c>
      <c r="C8" s="91"/>
      <c r="D8" s="92"/>
      <c r="E8" s="92">
        <v>4.0</v>
      </c>
      <c r="F8" s="93" t="s">
        <v>47</v>
      </c>
    </row>
    <row r="9">
      <c r="B9" s="88"/>
      <c r="C9" s="88"/>
      <c r="D9" s="89"/>
      <c r="E9" s="89"/>
      <c r="F9" s="89"/>
    </row>
    <row r="10">
      <c r="B10" s="88"/>
      <c r="C10" s="88"/>
      <c r="D10" s="89"/>
      <c r="E10" s="89"/>
      <c r="F10" s="8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2006-01-24T07:04:49Z</dcterms:created>
  <dc:creator>Optimas</dc:creator>
</cp:coreProperties>
</file>